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Excell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3" i="1"/>
  <c r="J7" i="1"/>
  <c r="G25" i="1"/>
  <c r="B8" i="1"/>
  <c r="U4" i="1" l="1"/>
  <c r="C6" i="1"/>
  <c r="D7" i="1"/>
  <c r="C7" i="1"/>
  <c r="B3" i="1"/>
  <c r="D26" i="1"/>
  <c r="C26" i="1"/>
  <c r="B25" i="1"/>
  <c r="B24" i="1"/>
  <c r="D19" i="1"/>
  <c r="C19" i="1"/>
  <c r="B18" i="1"/>
  <c r="B17" i="1"/>
  <c r="M20" i="1"/>
  <c r="J29" i="1" s="1"/>
  <c r="B10" i="1"/>
  <c r="D6" i="1"/>
  <c r="N6" i="1"/>
  <c r="N4" i="1" s="1"/>
  <c r="D4" i="1"/>
  <c r="C4" i="1"/>
  <c r="D3" i="1"/>
  <c r="C3" i="1"/>
  <c r="B6" i="1" l="1"/>
  <c r="G14" i="1"/>
  <c r="D14" i="1"/>
  <c r="B4" i="1"/>
  <c r="B5" i="1" s="1"/>
  <c r="B7" i="1"/>
  <c r="C14" i="1"/>
  <c r="B19" i="1"/>
  <c r="B26" i="1"/>
  <c r="N3" i="1"/>
  <c r="R6" i="1"/>
  <c r="Q6" i="1"/>
  <c r="Q4" i="1"/>
  <c r="R4" i="1"/>
  <c r="N7" i="1"/>
  <c r="N5" i="1" s="1"/>
  <c r="R5" i="1" s="1"/>
  <c r="N8" i="1"/>
  <c r="C29" i="1" l="1"/>
  <c r="C31" i="1" s="1"/>
  <c r="B14" i="1"/>
  <c r="Q8" i="1"/>
  <c r="R7" i="1"/>
  <c r="Q7" i="1"/>
  <c r="Q5" i="1"/>
  <c r="R8" i="1"/>
  <c r="R3" i="1" l="1"/>
  <c r="R9" i="1" s="1"/>
  <c r="Q3" i="1"/>
  <c r="Q9" i="1" s="1"/>
  <c r="M9" i="1"/>
  <c r="U6" i="1" l="1"/>
  <c r="D21" i="1"/>
  <c r="J30" i="1"/>
  <c r="U3" i="1"/>
  <c r="U5" i="1" s="1"/>
  <c r="G33" i="1" l="1"/>
  <c r="G34" i="1" s="1"/>
  <c r="B21" i="1"/>
  <c r="B29" i="1" s="1"/>
  <c r="B30" i="1" s="1"/>
  <c r="D29" i="1"/>
  <c r="D31" i="1" s="1"/>
  <c r="B31" i="1" l="1"/>
  <c r="J28" i="1" s="1"/>
  <c r="J31" i="1" s="1"/>
</calcChain>
</file>

<file path=xl/sharedStrings.xml><?xml version="1.0" encoding="utf-8"?>
<sst xmlns="http://schemas.openxmlformats.org/spreadsheetml/2006/main" count="122" uniqueCount="112">
  <si>
    <t xml:space="preserve"> </t>
  </si>
  <si>
    <t>WAGES</t>
  </si>
  <si>
    <t>Total</t>
  </si>
  <si>
    <t>Lead Up</t>
  </si>
  <si>
    <t>Run</t>
  </si>
  <si>
    <t>FEES</t>
  </si>
  <si>
    <t>Tot</t>
  </si>
  <si>
    <t>VARIABLES</t>
  </si>
  <si>
    <t>BOX OFFICE CALC.</t>
  </si>
  <si>
    <t>Perf.</t>
  </si>
  <si>
    <t>Seats</t>
  </si>
  <si>
    <t>House</t>
  </si>
  <si>
    <t>Price</t>
  </si>
  <si>
    <t>Revenue</t>
  </si>
  <si>
    <t>Tot Seats</t>
  </si>
  <si>
    <t>Director</t>
  </si>
  <si>
    <t>Rehearsal weeks</t>
  </si>
  <si>
    <t>Mat.</t>
  </si>
  <si>
    <t>Ave Att %</t>
  </si>
  <si>
    <t>Performance weeks</t>
  </si>
  <si>
    <t>School</t>
  </si>
  <si>
    <t>Avr Tikt</t>
  </si>
  <si>
    <t>Actor OT (3%)</t>
  </si>
  <si>
    <t>Discount</t>
  </si>
  <si>
    <t>LX Design</t>
  </si>
  <si>
    <t>Preview</t>
  </si>
  <si>
    <t>Sound design/ Composition</t>
  </si>
  <si>
    <t>Tikt Price A</t>
  </si>
  <si>
    <t>ASMs</t>
  </si>
  <si>
    <t>Coreo./ Movement</t>
  </si>
  <si>
    <t>Tikt Price B</t>
  </si>
  <si>
    <t>Fight Coreo.</t>
  </si>
  <si>
    <t>Stage Manager</t>
  </si>
  <si>
    <t>Tot. Perf.</t>
  </si>
  <si>
    <t>TOT</t>
  </si>
  <si>
    <t>Tech</t>
  </si>
  <si>
    <t>Dramaturge</t>
  </si>
  <si>
    <t>ASM</t>
  </si>
  <si>
    <t>Royalty</t>
  </si>
  <si>
    <t>PROJECT SPESSIFIC INCOME</t>
  </si>
  <si>
    <t>Organisation</t>
  </si>
  <si>
    <t>Technical overtime</t>
  </si>
  <si>
    <t>Playwright</t>
  </si>
  <si>
    <t>No. perfs</t>
  </si>
  <si>
    <t>Co-production</t>
  </si>
  <si>
    <t>Other</t>
  </si>
  <si>
    <t>Other: Ass't Dir. Etc.</t>
  </si>
  <si>
    <t>Sponsorship</t>
  </si>
  <si>
    <t>Producer, etc.</t>
  </si>
  <si>
    <t>VENU/FOH/ BOX OFFICE Reference*</t>
  </si>
  <si>
    <t>TOTAL WAGES</t>
  </si>
  <si>
    <t>TOTAL FEES</t>
  </si>
  <si>
    <t>Venue Costs</t>
  </si>
  <si>
    <t>Foundations</t>
  </si>
  <si>
    <t>TOTAL INCOME</t>
  </si>
  <si>
    <t>MISC. COSTS</t>
  </si>
  <si>
    <t>PHYSICAL PRODUCTION</t>
  </si>
  <si>
    <t>Set</t>
  </si>
  <si>
    <t>Costumes</t>
  </si>
  <si>
    <t>TOTAL MISC</t>
  </si>
  <si>
    <t>Props</t>
  </si>
  <si>
    <t>LX</t>
  </si>
  <si>
    <t>TOTAL ROYALTIES</t>
  </si>
  <si>
    <t>Sound</t>
  </si>
  <si>
    <t>TOTAL ADDITIONAL</t>
  </si>
  <si>
    <t>Transport</t>
  </si>
  <si>
    <t>MARKETING</t>
  </si>
  <si>
    <t>Misc. Inc. disposal</t>
  </si>
  <si>
    <t>Entertainment/Press</t>
  </si>
  <si>
    <t>Running costs</t>
  </si>
  <si>
    <t>Marketing</t>
  </si>
  <si>
    <t>TOTAL PHYSICAL</t>
  </si>
  <si>
    <t>TOTAL MARKETING</t>
  </si>
  <si>
    <t>Total Expenditure</t>
  </si>
  <si>
    <t>TOTAL EXPENDITURE</t>
  </si>
  <si>
    <t>Tot Expenditure</t>
  </si>
  <si>
    <t>contingency @ 2%</t>
  </si>
  <si>
    <t>Tot Income</t>
  </si>
  <si>
    <t>Box Office</t>
  </si>
  <si>
    <t>TOTAL</t>
  </si>
  <si>
    <t>PROJECT</t>
  </si>
  <si>
    <t>Set Design</t>
  </si>
  <si>
    <t>Capacity</t>
  </si>
  <si>
    <t>CC Commission (2%)</t>
  </si>
  <si>
    <t>Venue Tech.</t>
  </si>
  <si>
    <t>FOH/ Ushers</t>
  </si>
  <si>
    <t>Bartender</t>
  </si>
  <si>
    <t>Actors (Eng. Level 1)</t>
  </si>
  <si>
    <t>Actors (Eng. Level 2)</t>
  </si>
  <si>
    <t>Travel</t>
  </si>
  <si>
    <t>Subsistance</t>
  </si>
  <si>
    <t>Tech casuals (load in/out)</t>
  </si>
  <si>
    <t>Production Manager</t>
  </si>
  <si>
    <t>No of Actors Eng. Lev. 1</t>
  </si>
  <si>
    <t>No of Actors Eng. Lev. 2</t>
  </si>
  <si>
    <t>Costume Designer</t>
  </si>
  <si>
    <t>Municiple Grants</t>
  </si>
  <si>
    <t>Federal Grants</t>
  </si>
  <si>
    <t xml:space="preserve">SM Prep &amp; Post Weeks </t>
  </si>
  <si>
    <t>SM (+ Prep &amp; Post)</t>
  </si>
  <si>
    <t>Contingency</t>
  </si>
  <si>
    <t>Actor Wage Eng. Lev. 1</t>
  </si>
  <si>
    <t>Actor Wage Eng. Lev 2</t>
  </si>
  <si>
    <t>SM Wage</t>
  </si>
  <si>
    <t>ASM Wage</t>
  </si>
  <si>
    <t>TOTALS</t>
  </si>
  <si>
    <t>Provincial Grants</t>
  </si>
  <si>
    <t>Seat Sold</t>
  </si>
  <si>
    <t>SM &amp; ASM OT (3%)</t>
  </si>
  <si>
    <t>Created by Jack Paterson</t>
  </si>
  <si>
    <t>www.JackPatersonTheatre.com</t>
  </si>
  <si>
    <t>Password: JackPatersonTheatre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</si>
</sst>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3" xfId="0" applyFont="1" applyBorder="1"/>
    <xf numFmtId="0" fontId="3" fillId="2" borderId="3" xfId="0" applyFont="1" applyFill="1" applyBorder="1"/>
    <xf numFmtId="4" fontId="3" fillId="2" borderId="3" xfId="0" applyNumberFormat="1" applyFont="1" applyFill="1" applyBorder="1"/>
    <xf numFmtId="2" fontId="3" fillId="2" borderId="3" xfId="0" applyNumberFormat="1" applyFont="1" applyFill="1" applyBorder="1"/>
    <xf numFmtId="44" fontId="3" fillId="2" borderId="3" xfId="1" applyFont="1" applyFill="1" applyBorder="1"/>
    <xf numFmtId="3" fontId="3" fillId="2" borderId="3" xfId="0" applyNumberFormat="1" applyFont="1" applyFill="1" applyBorder="1"/>
    <xf numFmtId="4" fontId="3" fillId="0" borderId="3" xfId="0" applyNumberFormat="1" applyFont="1" applyBorder="1"/>
    <xf numFmtId="0" fontId="3" fillId="0" borderId="3" xfId="0" applyFont="1" applyFill="1" applyBorder="1"/>
    <xf numFmtId="44" fontId="3" fillId="0" borderId="3" xfId="1" applyFont="1" applyFill="1" applyBorder="1"/>
    <xf numFmtId="3" fontId="3" fillId="0" borderId="3" xfId="0" applyNumberFormat="1" applyFont="1" applyBorder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44" fontId="2" fillId="2" borderId="0" xfId="1" applyFont="1" applyFill="1"/>
    <xf numFmtId="3" fontId="3" fillId="2" borderId="0" xfId="0" applyNumberFormat="1" applyFont="1" applyFill="1"/>
    <xf numFmtId="0" fontId="3" fillId="0" borderId="0" xfId="0" applyFont="1" applyFill="1"/>
    <xf numFmtId="0" fontId="3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0" xfId="0" applyFont="1" applyFill="1" applyBorder="1"/>
    <xf numFmtId="2" fontId="2" fillId="2" borderId="0" xfId="0" applyNumberFormat="1" applyFont="1" applyFill="1"/>
    <xf numFmtId="2" fontId="3" fillId="2" borderId="0" xfId="0" applyNumberFormat="1" applyFont="1" applyFill="1"/>
    <xf numFmtId="0" fontId="2" fillId="0" borderId="0" xfId="0" applyFont="1" applyFill="1"/>
    <xf numFmtId="44" fontId="2" fillId="0" borderId="0" xfId="1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3" fillId="0" borderId="6" xfId="0" applyFont="1" applyBorder="1"/>
    <xf numFmtId="2" fontId="3" fillId="2" borderId="4" xfId="0" applyNumberFormat="1" applyFont="1" applyFill="1" applyBorder="1"/>
    <xf numFmtId="0" fontId="3" fillId="2" borderId="6" xfId="0" applyFont="1" applyFill="1" applyBorder="1"/>
    <xf numFmtId="2" fontId="3" fillId="2" borderId="7" xfId="0" applyNumberFormat="1" applyFont="1" applyFill="1" applyBorder="1"/>
    <xf numFmtId="0" fontId="2" fillId="2" borderId="8" xfId="0" applyFont="1" applyFill="1" applyBorder="1"/>
    <xf numFmtId="2" fontId="2" fillId="2" borderId="9" xfId="0" applyNumberFormat="1" applyFont="1" applyFill="1" applyBorder="1"/>
    <xf numFmtId="0" fontId="2" fillId="0" borderId="3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4" fontId="3" fillId="0" borderId="3" xfId="0" applyNumberFormat="1" applyFont="1" applyFill="1" applyBorder="1"/>
    <xf numFmtId="2" fontId="2" fillId="0" borderId="0" xfId="0" applyNumberFormat="1" applyFont="1" applyFill="1"/>
    <xf numFmtId="2" fontId="3" fillId="0" borderId="0" xfId="0" applyNumberFormat="1" applyFont="1" applyFill="1"/>
    <xf numFmtId="0" fontId="2" fillId="0" borderId="2" xfId="0" applyFont="1" applyFill="1" applyBorder="1"/>
    <xf numFmtId="2" fontId="3" fillId="0" borderId="4" xfId="0" applyNumberFormat="1" applyFont="1" applyFill="1" applyBorder="1"/>
    <xf numFmtId="2" fontId="2" fillId="2" borderId="3" xfId="0" applyNumberFormat="1" applyFont="1" applyFill="1" applyBorder="1"/>
    <xf numFmtId="0" fontId="3" fillId="0" borderId="6" xfId="0" applyFont="1" applyFill="1" applyBorder="1"/>
    <xf numFmtId="2" fontId="3" fillId="0" borderId="7" xfId="0" applyNumberFormat="1" applyFont="1" applyFill="1" applyBorder="1"/>
    <xf numFmtId="2" fontId="3" fillId="2" borderId="0" xfId="0" applyNumberFormat="1" applyFont="1" applyFill="1" applyBorder="1"/>
    <xf numFmtId="0" fontId="3" fillId="0" borderId="10" xfId="0" applyFont="1" applyFill="1" applyBorder="1"/>
    <xf numFmtId="0" fontId="2" fillId="2" borderId="0" xfId="0" applyFont="1" applyFill="1" applyAlignment="1">
      <alignment horizontal="center"/>
    </xf>
    <xf numFmtId="9" fontId="3" fillId="2" borderId="7" xfId="0" applyNumberFormat="1" applyFont="1" applyFill="1" applyBorder="1"/>
    <xf numFmtId="0" fontId="3" fillId="0" borderId="15" xfId="0" applyFont="1" applyFill="1" applyBorder="1"/>
    <xf numFmtId="44" fontId="3" fillId="0" borderId="16" xfId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3" fontId="3" fillId="0" borderId="7" xfId="0" applyNumberFormat="1" applyFont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3" fillId="3" borderId="3" xfId="0" applyNumberFormat="1" applyFont="1" applyFill="1" applyBorder="1" applyProtection="1"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2" fontId="3" fillId="0" borderId="3" xfId="0" applyNumberFormat="1" applyFont="1" applyFill="1" applyBorder="1"/>
    <xf numFmtId="44" fontId="3" fillId="2" borderId="3" xfId="0" applyNumberFormat="1" applyFont="1" applyFill="1" applyBorder="1"/>
    <xf numFmtId="0" fontId="4" fillId="3" borderId="0" xfId="0" applyFont="1" applyFill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164" fontId="3" fillId="3" borderId="3" xfId="2" applyNumberFormat="1" applyFont="1" applyFill="1" applyBorder="1" applyProtection="1">
      <protection locked="0"/>
    </xf>
    <xf numFmtId="44" fontId="3" fillId="3" borderId="10" xfId="1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44" fontId="3" fillId="3" borderId="3" xfId="1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9" fontId="3" fillId="3" borderId="3" xfId="2" applyFont="1" applyFill="1" applyBorder="1" applyProtection="1">
      <protection locked="0"/>
    </xf>
    <xf numFmtId="9" fontId="3" fillId="3" borderId="3" xfId="2" applyFont="1" applyFill="1" applyBorder="1" applyAlignment="1" applyProtection="1">
      <alignment horizontal="center"/>
      <protection locked="0"/>
    </xf>
    <xf numFmtId="4" fontId="3" fillId="3" borderId="3" xfId="0" applyNumberFormat="1" applyFont="1" applyFill="1" applyBorder="1"/>
    <xf numFmtId="4" fontId="3" fillId="3" borderId="3" xfId="0" applyNumberFormat="1" applyFont="1" applyFill="1" applyBorder="1" applyProtection="1">
      <protection locked="0"/>
    </xf>
    <xf numFmtId="4" fontId="3" fillId="4" borderId="3" xfId="0" applyNumberFormat="1" applyFont="1" applyFill="1" applyBorder="1"/>
    <xf numFmtId="0" fontId="2" fillId="0" borderId="11" xfId="0" applyFont="1" applyBorder="1"/>
    <xf numFmtId="0" fontId="3" fillId="0" borderId="12" xfId="0" applyFont="1" applyBorder="1"/>
    <xf numFmtId="0" fontId="8" fillId="0" borderId="0" xfId="3" applyFont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3" xfId="0" applyFont="1" applyFill="1" applyBorder="1" applyProtection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ckpatersontheat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Normal="100" workbookViewId="0">
      <selection sqref="A1:D1"/>
    </sheetView>
  </sheetViews>
  <sheetFormatPr defaultRowHeight="15" x14ac:dyDescent="0.25"/>
  <cols>
    <col min="1" max="1" width="21.5703125" customWidth="1"/>
    <col min="2" max="2" width="9.7109375" customWidth="1"/>
    <col min="3" max="3" width="10" customWidth="1"/>
    <col min="4" max="4" width="10.42578125" customWidth="1"/>
    <col min="5" max="5" width="4.140625" customWidth="1"/>
    <col min="6" max="6" width="24.140625" customWidth="1"/>
    <col min="7" max="7" width="9.42578125" bestFit="1" customWidth="1"/>
    <col min="8" max="8" width="3.140625" customWidth="1"/>
    <col min="9" max="9" width="19.140625" customWidth="1"/>
    <col min="10" max="10" width="8.85546875" customWidth="1"/>
    <col min="11" max="11" width="4.140625" customWidth="1"/>
    <col min="12" max="12" width="13" customWidth="1"/>
    <col min="13" max="13" width="11" bestFit="1" customWidth="1"/>
    <col min="17" max="17" width="13" customWidth="1"/>
    <col min="18" max="18" width="10.42578125" customWidth="1"/>
    <col min="19" max="19" width="3.7109375" customWidth="1"/>
  </cols>
  <sheetData>
    <row r="1" spans="1:22" x14ac:dyDescent="0.25">
      <c r="A1" s="66" t="s">
        <v>80</v>
      </c>
      <c r="B1" s="66"/>
      <c r="C1" s="66"/>
      <c r="D1" s="66"/>
      <c r="E1" s="2"/>
      <c r="F1" s="2"/>
      <c r="G1" s="2"/>
      <c r="H1" s="2"/>
      <c r="I1" s="2"/>
      <c r="J1" s="2"/>
      <c r="K1" s="2"/>
      <c r="L1" s="69"/>
      <c r="M1" s="69"/>
      <c r="N1" s="69"/>
      <c r="O1" s="69"/>
      <c r="P1" s="69"/>
      <c r="Q1" s="69"/>
      <c r="R1" s="69"/>
      <c r="S1" s="1"/>
      <c r="T1" s="1"/>
      <c r="U1" s="1"/>
      <c r="V1" s="1"/>
    </row>
    <row r="2" spans="1:22" ht="15.75" thickBot="1" x14ac:dyDescent="0.3">
      <c r="A2" s="3" t="s">
        <v>1</v>
      </c>
      <c r="B2" s="3" t="s">
        <v>2</v>
      </c>
      <c r="C2" s="3" t="s">
        <v>3</v>
      </c>
      <c r="D2" s="3" t="s">
        <v>4</v>
      </c>
      <c r="E2" s="28"/>
      <c r="F2" s="4" t="s">
        <v>5</v>
      </c>
      <c r="G2" s="4" t="s">
        <v>6</v>
      </c>
      <c r="H2" s="28"/>
      <c r="I2" s="4" t="s">
        <v>7</v>
      </c>
      <c r="J2" s="4"/>
      <c r="K2" s="1"/>
      <c r="L2" s="5" t="s">
        <v>8</v>
      </c>
      <c r="M2" s="86" t="s">
        <v>9</v>
      </c>
      <c r="N2" s="86" t="s">
        <v>10</v>
      </c>
      <c r="O2" s="86" t="s">
        <v>11</v>
      </c>
      <c r="P2" s="86" t="s">
        <v>12</v>
      </c>
      <c r="Q2" s="86" t="s">
        <v>13</v>
      </c>
      <c r="R2" s="87" t="s">
        <v>10</v>
      </c>
      <c r="S2" s="1"/>
      <c r="T2" s="1"/>
      <c r="U2" s="1"/>
      <c r="V2" s="1"/>
    </row>
    <row r="3" spans="1:22" x14ac:dyDescent="0.25">
      <c r="A3" s="8" t="s">
        <v>87</v>
      </c>
      <c r="B3" s="9">
        <f>J9*J10*(J3+J4)</f>
        <v>1500</v>
      </c>
      <c r="C3" s="9">
        <f>J9*J10*J3</f>
        <v>500</v>
      </c>
      <c r="D3" s="9">
        <f>(J4)*J10*J9</f>
        <v>1000</v>
      </c>
      <c r="E3" s="21"/>
      <c r="F3" s="8" t="s">
        <v>15</v>
      </c>
      <c r="G3" s="65">
        <v>4500</v>
      </c>
      <c r="H3" s="21"/>
      <c r="I3" s="8" t="s">
        <v>16</v>
      </c>
      <c r="J3" s="70">
        <v>1</v>
      </c>
      <c r="K3" s="25"/>
      <c r="L3" s="8" t="s">
        <v>17</v>
      </c>
      <c r="M3" s="77">
        <v>1</v>
      </c>
      <c r="N3" s="42">
        <f>SUM(N6)</f>
        <v>175</v>
      </c>
      <c r="O3" s="79">
        <v>0.45</v>
      </c>
      <c r="P3" s="74">
        <v>12</v>
      </c>
      <c r="Q3" s="11">
        <f t="shared" ref="Q3:Q8" si="0">M3*N3*O3*P3</f>
        <v>945</v>
      </c>
      <c r="R3" s="12">
        <f t="shared" ref="R3:R8" si="1">SUM(M3*N3*O3)</f>
        <v>78.75</v>
      </c>
      <c r="S3" s="1"/>
      <c r="T3" s="60" t="s">
        <v>14</v>
      </c>
      <c r="U3" s="61">
        <f>SUM(J5*J7)</f>
        <v>3675</v>
      </c>
      <c r="V3" s="1"/>
    </row>
    <row r="4" spans="1:22" x14ac:dyDescent="0.25">
      <c r="A4" s="7" t="s">
        <v>88</v>
      </c>
      <c r="B4" s="13">
        <f>C4+D4</f>
        <v>750</v>
      </c>
      <c r="C4" s="13">
        <f>SUM(J3*J11*J12)</f>
        <v>250</v>
      </c>
      <c r="D4" s="13">
        <f>SUM(J4*J11*J12)</f>
        <v>500</v>
      </c>
      <c r="E4" s="21"/>
      <c r="F4" s="7" t="s">
        <v>95</v>
      </c>
      <c r="G4" s="65">
        <v>2000</v>
      </c>
      <c r="H4" s="21"/>
      <c r="I4" s="7" t="s">
        <v>19</v>
      </c>
      <c r="J4" s="70">
        <v>2</v>
      </c>
      <c r="K4" s="25"/>
      <c r="L4" s="14" t="s">
        <v>20</v>
      </c>
      <c r="M4" s="77">
        <v>2</v>
      </c>
      <c r="N4" s="43">
        <f>SUM(N6)</f>
        <v>175</v>
      </c>
      <c r="O4" s="79">
        <v>0.45</v>
      </c>
      <c r="P4" s="74">
        <v>12</v>
      </c>
      <c r="Q4" s="15">
        <f t="shared" si="0"/>
        <v>1890</v>
      </c>
      <c r="R4" s="16">
        <f t="shared" si="1"/>
        <v>157.5</v>
      </c>
      <c r="S4" s="1"/>
      <c r="T4" s="32" t="s">
        <v>107</v>
      </c>
      <c r="U4" s="62">
        <f>SUM(R9)</f>
        <v>1484</v>
      </c>
      <c r="V4" s="1"/>
    </row>
    <row r="5" spans="1:22" x14ac:dyDescent="0.25">
      <c r="A5" s="8" t="s">
        <v>22</v>
      </c>
      <c r="B5" s="9">
        <f>(B3+B4)*3%</f>
        <v>67.5</v>
      </c>
      <c r="C5" s="9"/>
      <c r="D5" s="9"/>
      <c r="E5" s="21"/>
      <c r="F5" s="8" t="s">
        <v>81</v>
      </c>
      <c r="G5" s="65">
        <v>2500</v>
      </c>
      <c r="H5" s="21"/>
      <c r="I5" s="8" t="s">
        <v>82</v>
      </c>
      <c r="J5" s="70">
        <v>175</v>
      </c>
      <c r="K5" s="44"/>
      <c r="L5" s="8" t="s">
        <v>23</v>
      </c>
      <c r="M5" s="77">
        <v>3</v>
      </c>
      <c r="N5" s="42">
        <f>SUM(N7)</f>
        <v>175</v>
      </c>
      <c r="O5" s="79">
        <v>0.5</v>
      </c>
      <c r="P5" s="74">
        <v>12</v>
      </c>
      <c r="Q5" s="11">
        <f t="shared" si="0"/>
        <v>3150</v>
      </c>
      <c r="R5" s="12">
        <f t="shared" si="1"/>
        <v>262.5</v>
      </c>
      <c r="S5" s="1"/>
      <c r="T5" s="34" t="s">
        <v>18</v>
      </c>
      <c r="U5" s="57">
        <f>SUM(U4/U3)</f>
        <v>0.40380952380952378</v>
      </c>
      <c r="V5" s="1"/>
    </row>
    <row r="6" spans="1:22" ht="15.75" thickBot="1" x14ac:dyDescent="0.3">
      <c r="A6" s="14" t="s">
        <v>99</v>
      </c>
      <c r="B6" s="46">
        <f>SUM(C6+D6)</f>
        <v>2000</v>
      </c>
      <c r="C6" s="46">
        <f>((J3+J14)*J13*J15)</f>
        <v>1000</v>
      </c>
      <c r="D6" s="46">
        <f>J15*(J4)*J13</f>
        <v>1000</v>
      </c>
      <c r="E6" s="21"/>
      <c r="F6" s="7" t="s">
        <v>24</v>
      </c>
      <c r="G6" s="65">
        <v>2500</v>
      </c>
      <c r="H6" s="21"/>
      <c r="I6" s="14" t="s">
        <v>38</v>
      </c>
      <c r="J6" s="71">
        <v>7.4999999999999997E-2</v>
      </c>
      <c r="K6" s="25"/>
      <c r="L6" s="14" t="s">
        <v>25</v>
      </c>
      <c r="M6" s="77">
        <v>4</v>
      </c>
      <c r="N6" s="43">
        <f>J5</f>
        <v>175</v>
      </c>
      <c r="O6" s="79">
        <v>0.5</v>
      </c>
      <c r="P6" s="74">
        <v>15</v>
      </c>
      <c r="Q6" s="15">
        <f t="shared" si="0"/>
        <v>5250</v>
      </c>
      <c r="R6" s="16">
        <f t="shared" si="1"/>
        <v>350</v>
      </c>
      <c r="S6" s="1"/>
      <c r="T6" s="58" t="s">
        <v>21</v>
      </c>
      <c r="U6" s="59">
        <f>SUM(Q9/R9)</f>
        <v>19.439858490566039</v>
      </c>
      <c r="V6" s="1"/>
    </row>
    <row r="7" spans="1:22" x14ac:dyDescent="0.25">
      <c r="A7" s="8" t="s">
        <v>28</v>
      </c>
      <c r="B7" s="9">
        <f>C7+D7</f>
        <v>750</v>
      </c>
      <c r="C7" s="9">
        <f>J17*J16*J3</f>
        <v>250</v>
      </c>
      <c r="D7" s="9">
        <f>J17*J16*J4</f>
        <v>500</v>
      </c>
      <c r="E7" s="21"/>
      <c r="F7" s="8" t="s">
        <v>26</v>
      </c>
      <c r="G7" s="65">
        <v>2500</v>
      </c>
      <c r="H7" s="21"/>
      <c r="I7" s="8" t="s">
        <v>43</v>
      </c>
      <c r="J7" s="88">
        <f>SUM(M9)</f>
        <v>21</v>
      </c>
      <c r="K7" s="25"/>
      <c r="L7" s="8" t="s">
        <v>27</v>
      </c>
      <c r="M7" s="77">
        <v>5</v>
      </c>
      <c r="N7" s="42">
        <f>SUM(N6)</f>
        <v>175</v>
      </c>
      <c r="O7" s="79">
        <v>0.33</v>
      </c>
      <c r="P7" s="74">
        <v>25</v>
      </c>
      <c r="Q7" s="11">
        <f t="shared" si="0"/>
        <v>7218.75</v>
      </c>
      <c r="R7" s="12">
        <f t="shared" si="1"/>
        <v>288.75</v>
      </c>
      <c r="S7" s="1"/>
      <c r="T7" s="1"/>
      <c r="U7" s="1"/>
      <c r="V7" s="1"/>
    </row>
    <row r="8" spans="1:22" x14ac:dyDescent="0.25">
      <c r="A8" s="14" t="s">
        <v>108</v>
      </c>
      <c r="B8" s="46">
        <f>SUM((B6+B7)*0.03)</f>
        <v>82.5</v>
      </c>
      <c r="C8" s="46"/>
      <c r="D8" s="46"/>
      <c r="E8" s="21"/>
      <c r="F8" s="7" t="s">
        <v>29</v>
      </c>
      <c r="G8" s="65">
        <v>2000</v>
      </c>
      <c r="H8" s="21"/>
      <c r="I8" s="14" t="s">
        <v>100</v>
      </c>
      <c r="J8" s="78">
        <v>0.02</v>
      </c>
      <c r="K8" s="25"/>
      <c r="L8" s="14" t="s">
        <v>30</v>
      </c>
      <c r="M8" s="77">
        <v>6</v>
      </c>
      <c r="N8" s="43">
        <f>SUM(N6)</f>
        <v>175</v>
      </c>
      <c r="O8" s="79">
        <v>0.33</v>
      </c>
      <c r="P8" s="74">
        <v>30</v>
      </c>
      <c r="Q8" s="15">
        <f t="shared" si="0"/>
        <v>10395</v>
      </c>
      <c r="R8" s="16">
        <f t="shared" si="1"/>
        <v>346.5</v>
      </c>
      <c r="S8" s="1"/>
      <c r="T8" s="1"/>
      <c r="U8" s="1"/>
      <c r="V8" s="1"/>
    </row>
    <row r="9" spans="1:22" x14ac:dyDescent="0.25">
      <c r="A9" s="24" t="s">
        <v>35</v>
      </c>
      <c r="B9" s="82"/>
      <c r="C9" s="82"/>
      <c r="D9" s="82"/>
      <c r="E9" s="21"/>
      <c r="F9" s="8" t="s">
        <v>31</v>
      </c>
      <c r="G9" s="65">
        <v>0</v>
      </c>
      <c r="H9" s="21"/>
      <c r="I9" s="8" t="s">
        <v>93</v>
      </c>
      <c r="J9" s="70">
        <v>1</v>
      </c>
      <c r="K9" s="25"/>
      <c r="L9" s="17" t="s">
        <v>33</v>
      </c>
      <c r="M9" s="56">
        <f>SUM(M3:M8)</f>
        <v>21</v>
      </c>
      <c r="N9" s="18"/>
      <c r="O9" s="18"/>
      <c r="P9" s="17" t="s">
        <v>34</v>
      </c>
      <c r="Q9" s="19">
        <f>SUM(Q3:Q8)</f>
        <v>28848.75</v>
      </c>
      <c r="R9" s="20">
        <f>SUM(R3:R8)</f>
        <v>1484</v>
      </c>
      <c r="S9" s="1"/>
      <c r="T9" s="1"/>
      <c r="U9" s="1"/>
      <c r="V9" s="1"/>
    </row>
    <row r="10" spans="1:22" x14ac:dyDescent="0.25">
      <c r="A10" s="14" t="s">
        <v>91</v>
      </c>
      <c r="B10" s="46">
        <f>C10</f>
        <v>2000</v>
      </c>
      <c r="C10" s="81">
        <v>2000</v>
      </c>
      <c r="D10" s="82"/>
      <c r="E10" s="21"/>
      <c r="F10" s="7" t="s">
        <v>36</v>
      </c>
      <c r="G10" s="65">
        <v>1000</v>
      </c>
      <c r="H10" s="21"/>
      <c r="I10" s="14" t="s">
        <v>101</v>
      </c>
      <c r="J10" s="65">
        <v>500</v>
      </c>
      <c r="K10" s="25"/>
      <c r="L10" s="21"/>
      <c r="M10" s="21"/>
      <c r="N10" s="21"/>
      <c r="O10" s="21"/>
      <c r="P10" s="21"/>
      <c r="Q10" s="21"/>
      <c r="R10" s="1"/>
      <c r="S10" s="1"/>
      <c r="T10" s="1"/>
      <c r="U10" s="1"/>
      <c r="V10" s="1"/>
    </row>
    <row r="11" spans="1:22" x14ac:dyDescent="0.25">
      <c r="A11" s="8" t="s">
        <v>41</v>
      </c>
      <c r="B11" s="9">
        <f>SUM(C11)</f>
        <v>0</v>
      </c>
      <c r="C11" s="81">
        <v>0</v>
      </c>
      <c r="D11" s="82"/>
      <c r="E11" s="21"/>
      <c r="F11" s="8" t="s">
        <v>92</v>
      </c>
      <c r="G11" s="65">
        <v>0</v>
      </c>
      <c r="H11" s="21"/>
      <c r="I11" s="8" t="s">
        <v>94</v>
      </c>
      <c r="J11" s="70">
        <v>1</v>
      </c>
      <c r="K11" s="25"/>
      <c r="L11" s="64" t="s">
        <v>39</v>
      </c>
      <c r="M11" s="64"/>
      <c r="N11" s="63" t="s">
        <v>40</v>
      </c>
      <c r="O11" s="63"/>
      <c r="P11" s="63"/>
      <c r="Q11" s="63"/>
      <c r="R11" s="1"/>
      <c r="S11" s="1"/>
      <c r="T11" s="1"/>
      <c r="U11" s="1"/>
    </row>
    <row r="12" spans="1:22" x14ac:dyDescent="0.25">
      <c r="A12" s="38" t="s">
        <v>45</v>
      </c>
      <c r="B12" s="82"/>
      <c r="C12" s="82"/>
      <c r="D12" s="82"/>
      <c r="E12" s="21"/>
      <c r="F12" s="7" t="s">
        <v>42</v>
      </c>
      <c r="G12" s="65">
        <v>0</v>
      </c>
      <c r="H12" s="21"/>
      <c r="I12" s="14" t="s">
        <v>102</v>
      </c>
      <c r="J12" s="70">
        <v>250</v>
      </c>
      <c r="K12" s="25"/>
      <c r="L12" s="55" t="s">
        <v>44</v>
      </c>
      <c r="M12" s="72">
        <v>1</v>
      </c>
      <c r="N12" s="73"/>
      <c r="O12" s="73"/>
      <c r="P12" s="73"/>
      <c r="Q12" s="73"/>
      <c r="R12" s="1"/>
      <c r="S12" s="1"/>
      <c r="T12" s="1"/>
      <c r="U12" s="1"/>
    </row>
    <row r="13" spans="1:22" x14ac:dyDescent="0.25">
      <c r="A13" s="8" t="s">
        <v>48</v>
      </c>
      <c r="B13" s="9">
        <f>SUM(D13+C13)</f>
        <v>100</v>
      </c>
      <c r="C13" s="80">
        <v>50</v>
      </c>
      <c r="D13" s="80">
        <v>50</v>
      </c>
      <c r="E13" s="21"/>
      <c r="F13" s="8" t="s">
        <v>46</v>
      </c>
      <c r="G13" s="65">
        <v>0</v>
      </c>
      <c r="H13" s="21"/>
      <c r="I13" s="8" t="s">
        <v>32</v>
      </c>
      <c r="J13" s="70">
        <v>1</v>
      </c>
      <c r="K13" s="21"/>
      <c r="L13" s="8" t="s">
        <v>47</v>
      </c>
      <c r="M13" s="74">
        <v>1</v>
      </c>
      <c r="N13" s="75"/>
      <c r="O13" s="75"/>
      <c r="P13" s="75"/>
      <c r="Q13" s="75"/>
      <c r="R13" s="1"/>
      <c r="S13" s="1"/>
      <c r="T13" s="1"/>
      <c r="U13" s="1"/>
    </row>
    <row r="14" spans="1:22" x14ac:dyDescent="0.25">
      <c r="A14" s="28" t="s">
        <v>50</v>
      </c>
      <c r="B14" s="47">
        <f>SUM(B3:B13)</f>
        <v>7250</v>
      </c>
      <c r="C14" s="48">
        <f>SUM(C3:C13)</f>
        <v>4050</v>
      </c>
      <c r="D14" s="48">
        <f>SUM(D3:D13)</f>
        <v>3050</v>
      </c>
      <c r="E14" s="21"/>
      <c r="F14" s="28" t="s">
        <v>51</v>
      </c>
      <c r="G14" s="47">
        <f>SUM(G3:G13)</f>
        <v>17000</v>
      </c>
      <c r="H14" s="21"/>
      <c r="I14" s="14" t="s">
        <v>98</v>
      </c>
      <c r="J14" s="70">
        <v>1</v>
      </c>
      <c r="K14" s="1"/>
      <c r="L14" s="14" t="s">
        <v>53</v>
      </c>
      <c r="M14" s="74">
        <v>1</v>
      </c>
      <c r="N14" s="75"/>
      <c r="O14" s="75"/>
      <c r="P14" s="75"/>
      <c r="Q14" s="75"/>
      <c r="R14" s="1"/>
      <c r="S14" s="1"/>
      <c r="T14" s="1"/>
      <c r="U14" s="1"/>
    </row>
    <row r="15" spans="1:22" x14ac:dyDescent="0.25">
      <c r="A15" s="21"/>
      <c r="B15" s="21"/>
      <c r="C15" s="21"/>
      <c r="D15" s="21"/>
      <c r="E15" s="21"/>
      <c r="F15" s="1"/>
      <c r="G15" s="1"/>
      <c r="H15" s="21"/>
      <c r="I15" s="8" t="s">
        <v>103</v>
      </c>
      <c r="J15" s="65">
        <v>500</v>
      </c>
      <c r="K15" s="21"/>
      <c r="L15" s="8" t="s">
        <v>96</v>
      </c>
      <c r="M15" s="74">
        <v>1</v>
      </c>
      <c r="N15" s="75"/>
      <c r="O15" s="75"/>
      <c r="P15" s="75"/>
      <c r="Q15" s="75"/>
      <c r="R15" s="1"/>
      <c r="S15" s="1"/>
      <c r="T15" s="1"/>
      <c r="U15" s="1"/>
    </row>
    <row r="16" spans="1:22" x14ac:dyDescent="0.25">
      <c r="A16" s="5" t="s">
        <v>55</v>
      </c>
      <c r="B16" s="6"/>
      <c r="C16" s="6"/>
      <c r="D16" s="6"/>
      <c r="E16" s="21"/>
      <c r="F16" s="5" t="s">
        <v>56</v>
      </c>
      <c r="G16" s="6" t="s">
        <v>2</v>
      </c>
      <c r="H16" s="21"/>
      <c r="I16" s="14" t="s">
        <v>37</v>
      </c>
      <c r="J16" s="70">
        <v>1</v>
      </c>
      <c r="K16" s="21"/>
      <c r="L16" s="14" t="s">
        <v>106</v>
      </c>
      <c r="M16" s="74">
        <v>1</v>
      </c>
      <c r="N16" s="76"/>
      <c r="O16" s="76"/>
      <c r="P16" s="76"/>
      <c r="Q16" s="76"/>
      <c r="R16" s="1"/>
      <c r="S16" s="1"/>
      <c r="T16" s="1"/>
      <c r="U16" s="1"/>
    </row>
    <row r="17" spans="1:22" x14ac:dyDescent="0.25">
      <c r="A17" s="8" t="s">
        <v>90</v>
      </c>
      <c r="B17" s="67">
        <f>SUM(C17+D17)</f>
        <v>0</v>
      </c>
      <c r="C17" s="65">
        <v>0</v>
      </c>
      <c r="D17" s="65">
        <v>0</v>
      </c>
      <c r="E17" s="21"/>
      <c r="F17" s="8" t="s">
        <v>57</v>
      </c>
      <c r="G17" s="65">
        <v>2000</v>
      </c>
      <c r="H17" s="21"/>
      <c r="I17" s="8" t="s">
        <v>104</v>
      </c>
      <c r="J17" s="65">
        <v>250</v>
      </c>
      <c r="K17" s="21"/>
      <c r="L17" s="8" t="s">
        <v>97</v>
      </c>
      <c r="M17" s="74">
        <v>1</v>
      </c>
      <c r="N17" s="76"/>
      <c r="O17" s="76"/>
      <c r="P17" s="76"/>
      <c r="Q17" s="76"/>
      <c r="R17" s="1"/>
      <c r="S17" s="1"/>
      <c r="T17" s="1"/>
      <c r="U17" s="1"/>
      <c r="V17" s="1"/>
    </row>
    <row r="18" spans="1:22" x14ac:dyDescent="0.25">
      <c r="A18" s="14" t="s">
        <v>89</v>
      </c>
      <c r="B18" s="67">
        <f>C18+D18</f>
        <v>0</v>
      </c>
      <c r="C18" s="65">
        <v>0</v>
      </c>
      <c r="D18" s="65">
        <v>0</v>
      </c>
      <c r="E18" s="21"/>
      <c r="F18" s="14" t="s">
        <v>58</v>
      </c>
      <c r="G18" s="65">
        <v>2000</v>
      </c>
      <c r="H18" s="21"/>
      <c r="I18" s="1"/>
      <c r="J18" s="1"/>
      <c r="K18" s="21"/>
      <c r="L18" s="14" t="s">
        <v>45</v>
      </c>
      <c r="M18" s="74">
        <v>1</v>
      </c>
      <c r="N18" s="76"/>
      <c r="O18" s="76"/>
      <c r="P18" s="76"/>
      <c r="Q18" s="76"/>
      <c r="R18" s="25"/>
      <c r="S18" s="25"/>
      <c r="T18" s="25"/>
      <c r="U18" s="25"/>
      <c r="V18" s="25"/>
    </row>
    <row r="19" spans="1:22" x14ac:dyDescent="0.25">
      <c r="A19" s="18" t="s">
        <v>59</v>
      </c>
      <c r="B19" s="26">
        <f>B17+B18</f>
        <v>0</v>
      </c>
      <c r="C19" s="27">
        <f>SUM(C17+C18)</f>
        <v>0</v>
      </c>
      <c r="D19" s="27">
        <f>SUM(D17+D18)</f>
        <v>0</v>
      </c>
      <c r="E19" s="21"/>
      <c r="F19" s="8" t="s">
        <v>60</v>
      </c>
      <c r="G19" s="65">
        <v>500</v>
      </c>
      <c r="H19" s="21"/>
      <c r="I19" s="25"/>
      <c r="J19" s="1"/>
      <c r="K19" s="21"/>
      <c r="L19" s="8" t="s">
        <v>45</v>
      </c>
      <c r="M19" s="74">
        <v>1</v>
      </c>
      <c r="N19" s="76"/>
      <c r="O19" s="76"/>
      <c r="P19" s="76"/>
      <c r="Q19" s="76"/>
      <c r="R19" s="25"/>
      <c r="S19" s="25"/>
      <c r="T19" s="25"/>
      <c r="U19" s="25"/>
      <c r="V19" s="25"/>
    </row>
    <row r="20" spans="1:22" x14ac:dyDescent="0.25">
      <c r="A20" s="21"/>
      <c r="B20" s="21"/>
      <c r="C20" s="21"/>
      <c r="D20" s="21"/>
      <c r="E20" s="21"/>
      <c r="F20" s="14" t="s">
        <v>61</v>
      </c>
      <c r="G20" s="65">
        <v>1000</v>
      </c>
      <c r="H20" s="21"/>
      <c r="I20" s="21"/>
      <c r="J20" s="21" t="s">
        <v>0</v>
      </c>
      <c r="K20" s="21"/>
      <c r="L20" s="28" t="s">
        <v>54</v>
      </c>
      <c r="M20" s="29">
        <f>SUM(M12+M13+M14+M15+M16+M17+M18+M19)</f>
        <v>8</v>
      </c>
      <c r="N20" s="1"/>
      <c r="O20" s="1"/>
      <c r="P20" s="1"/>
      <c r="Q20" s="1"/>
      <c r="R20" s="25"/>
      <c r="S20" s="25"/>
      <c r="T20" s="25"/>
      <c r="U20" s="25"/>
      <c r="V20" s="25"/>
    </row>
    <row r="21" spans="1:22" x14ac:dyDescent="0.25">
      <c r="A21" s="24" t="s">
        <v>62</v>
      </c>
      <c r="B21" s="51">
        <f>D21</f>
        <v>2163.65625</v>
      </c>
      <c r="C21" s="8"/>
      <c r="D21" s="68">
        <f>Q9*J6</f>
        <v>2163.65625</v>
      </c>
      <c r="E21" s="21"/>
      <c r="F21" s="8" t="s">
        <v>63</v>
      </c>
      <c r="G21" s="65">
        <v>250</v>
      </c>
      <c r="H21" s="21"/>
      <c r="I21" s="1"/>
      <c r="J21" s="1"/>
      <c r="K21" s="21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5">
      <c r="A22" s="21"/>
      <c r="B22" s="21"/>
      <c r="C22" s="21"/>
      <c r="D22" s="21"/>
      <c r="E22" s="21"/>
      <c r="F22" s="14" t="s">
        <v>65</v>
      </c>
      <c r="G22" s="65">
        <v>150</v>
      </c>
      <c r="H22" s="21"/>
      <c r="I22" s="1"/>
      <c r="J22" s="1"/>
      <c r="K22" s="21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5">
      <c r="A23" s="30" t="s">
        <v>66</v>
      </c>
      <c r="B23" s="31"/>
      <c r="C23" s="31"/>
      <c r="D23" s="31"/>
      <c r="E23" s="21"/>
      <c r="F23" s="8" t="s">
        <v>67</v>
      </c>
      <c r="G23" s="65">
        <v>500</v>
      </c>
      <c r="H23" s="21"/>
      <c r="I23" s="28"/>
      <c r="J23" s="28"/>
      <c r="K23" s="2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5">
      <c r="A24" s="14" t="s">
        <v>68</v>
      </c>
      <c r="B24" s="67">
        <f>C24+D24</f>
        <v>1500</v>
      </c>
      <c r="C24" s="65">
        <v>1000</v>
      </c>
      <c r="D24" s="65">
        <v>500</v>
      </c>
      <c r="E24" s="21"/>
      <c r="F24" s="14" t="s">
        <v>69</v>
      </c>
      <c r="G24" s="65">
        <v>200</v>
      </c>
      <c r="H24" s="21"/>
      <c r="I24" s="1"/>
      <c r="J24" s="1"/>
      <c r="K24" s="21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5">
      <c r="A25" s="8" t="s">
        <v>70</v>
      </c>
      <c r="B25" s="67">
        <f>SUM(C25+D25)</f>
        <v>2500</v>
      </c>
      <c r="C25" s="65">
        <v>2000</v>
      </c>
      <c r="D25" s="65">
        <v>500</v>
      </c>
      <c r="E25" s="21"/>
      <c r="F25" s="18" t="s">
        <v>71</v>
      </c>
      <c r="G25" s="26">
        <f>G17+G18+G19+G20+G21+G22+G23+G24</f>
        <v>6600</v>
      </c>
      <c r="H25" s="21"/>
      <c r="I25" s="1"/>
      <c r="J25" s="1"/>
      <c r="K25" s="21"/>
      <c r="L25" s="25"/>
      <c r="M25" s="25"/>
      <c r="N25" s="25"/>
      <c r="O25" s="25"/>
      <c r="P25" s="25"/>
      <c r="Q25" s="25"/>
      <c r="R25" s="25"/>
      <c r="S25" s="41"/>
      <c r="T25" s="40"/>
      <c r="U25" s="41"/>
      <c r="V25" s="40"/>
    </row>
    <row r="26" spans="1:22" ht="15.75" thickBot="1" x14ac:dyDescent="0.3">
      <c r="A26" s="28" t="s">
        <v>72</v>
      </c>
      <c r="B26" s="47">
        <f>SUM(B24:B25)</f>
        <v>4000</v>
      </c>
      <c r="C26" s="48">
        <f>SUM(C24+C25)</f>
        <v>3000</v>
      </c>
      <c r="D26" s="48">
        <f>SUM(D24+D25)</f>
        <v>1000</v>
      </c>
      <c r="E26" s="21"/>
      <c r="F26" s="21"/>
      <c r="G26" s="21"/>
      <c r="H26" s="21"/>
      <c r="I26" s="1"/>
      <c r="J26" s="1"/>
      <c r="K26" s="21"/>
      <c r="L26" s="40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5">
      <c r="A27" s="21"/>
      <c r="B27" s="21"/>
      <c r="C27" s="21"/>
      <c r="D27" s="21"/>
      <c r="E27" s="21"/>
      <c r="F27" s="23" t="s">
        <v>49</v>
      </c>
      <c r="G27" s="22"/>
      <c r="H27" s="21"/>
      <c r="I27" s="83" t="s">
        <v>105</v>
      </c>
      <c r="J27" s="84"/>
      <c r="K27" s="21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5">
      <c r="A28" s="49" t="s">
        <v>73</v>
      </c>
      <c r="B28" s="49" t="s">
        <v>6</v>
      </c>
      <c r="C28" s="49" t="s">
        <v>3</v>
      </c>
      <c r="D28" s="49" t="s">
        <v>4</v>
      </c>
      <c r="E28" s="21"/>
      <c r="F28" s="38" t="s">
        <v>52</v>
      </c>
      <c r="G28" s="14" t="s">
        <v>2</v>
      </c>
      <c r="H28" s="21"/>
      <c r="I28" s="52" t="s">
        <v>75</v>
      </c>
      <c r="J28" s="53">
        <f>SUM(B31)</f>
        <v>37753.929375</v>
      </c>
      <c r="K28" s="21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5">
      <c r="A29" s="8" t="s">
        <v>74</v>
      </c>
      <c r="B29" s="33">
        <f>SUM(B14+B19+B21+B26+G14+G25)</f>
        <v>37013.65625</v>
      </c>
      <c r="C29" s="10">
        <f>SUM(C26+C21+C19+C14+G14+(G25-G24))</f>
        <v>30450</v>
      </c>
      <c r="D29" s="10">
        <f>SUM(D26+D21+D19+D14+G24)</f>
        <v>6413.65625</v>
      </c>
      <c r="E29" s="21"/>
      <c r="F29" s="8" t="s">
        <v>84</v>
      </c>
      <c r="G29" s="65">
        <v>0</v>
      </c>
      <c r="H29" s="21"/>
      <c r="I29" s="34" t="s">
        <v>77</v>
      </c>
      <c r="J29" s="35">
        <f>SUM(M20)</f>
        <v>8</v>
      </c>
      <c r="K29" s="21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5">
      <c r="A30" s="14" t="s">
        <v>76</v>
      </c>
      <c r="B30" s="50">
        <f>SUM(B29*J8)</f>
        <v>740.27312500000005</v>
      </c>
      <c r="C30" s="14"/>
      <c r="D30" s="14"/>
      <c r="E30" s="21"/>
      <c r="F30" s="14" t="s">
        <v>85</v>
      </c>
      <c r="G30" s="65">
        <v>0</v>
      </c>
      <c r="H30" s="21"/>
      <c r="I30" s="52" t="s">
        <v>78</v>
      </c>
      <c r="J30" s="53">
        <f>SUM(Q9)</f>
        <v>28848.75</v>
      </c>
      <c r="K30" s="21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ht="15.75" thickBot="1" x14ac:dyDescent="0.3">
      <c r="A31" s="18" t="s">
        <v>74</v>
      </c>
      <c r="B31" s="26">
        <f>SUM(B29:B30)</f>
        <v>37753.929375</v>
      </c>
      <c r="C31" s="54">
        <f>SUM(C29+C30)</f>
        <v>30450</v>
      </c>
      <c r="D31" s="54">
        <f>SUM(D29+D30)</f>
        <v>6413.65625</v>
      </c>
      <c r="E31" s="21"/>
      <c r="F31" s="8" t="s">
        <v>78</v>
      </c>
      <c r="G31" s="65">
        <v>0</v>
      </c>
      <c r="H31" s="21"/>
      <c r="I31" s="36" t="s">
        <v>79</v>
      </c>
      <c r="J31" s="37">
        <f>SUM(J30+J29-J28)</f>
        <v>-8897.1793749999997</v>
      </c>
      <c r="K31" s="21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5">
      <c r="A32" s="21"/>
      <c r="B32" s="21"/>
      <c r="C32" s="25"/>
      <c r="D32" s="25"/>
      <c r="E32" s="21"/>
      <c r="F32" s="14" t="s">
        <v>86</v>
      </c>
      <c r="G32" s="65">
        <v>0</v>
      </c>
      <c r="H32" s="21"/>
      <c r="I32" s="1"/>
      <c r="J32" s="1"/>
      <c r="K32" s="21"/>
      <c r="L32" s="1"/>
      <c r="M32" s="1"/>
      <c r="N32" s="1"/>
      <c r="O32" s="1"/>
      <c r="P32" s="1"/>
      <c r="Q32" s="1"/>
      <c r="R32" s="25"/>
      <c r="S32" s="25"/>
      <c r="T32" s="25"/>
      <c r="U32" s="25"/>
      <c r="V32" s="25"/>
    </row>
    <row r="33" spans="1:22" x14ac:dyDescent="0.25">
      <c r="A33" s="21"/>
      <c r="B33" s="21"/>
      <c r="C33" s="21"/>
      <c r="D33" s="21"/>
      <c r="E33" s="21"/>
      <c r="F33" s="8" t="s">
        <v>83</v>
      </c>
      <c r="G33" s="8">
        <f>SUM(J30*0.02)</f>
        <v>576.97500000000002</v>
      </c>
      <c r="H33" s="21"/>
      <c r="I33" s="1"/>
      <c r="J33" s="1"/>
      <c r="K33" s="21"/>
      <c r="L33" s="25"/>
      <c r="M33" s="25"/>
      <c r="N33" s="25"/>
      <c r="O33" s="25"/>
      <c r="P33" s="25"/>
      <c r="Q33" s="25"/>
      <c r="R33" s="25"/>
      <c r="S33" s="41"/>
      <c r="T33" s="40"/>
      <c r="U33" s="41"/>
      <c r="V33" s="40"/>
    </row>
    <row r="34" spans="1:22" x14ac:dyDescent="0.25">
      <c r="A34" s="1"/>
      <c r="B34" s="1"/>
      <c r="C34" s="1"/>
      <c r="D34" s="1"/>
      <c r="E34" s="21"/>
      <c r="F34" s="28" t="s">
        <v>64</v>
      </c>
      <c r="G34" s="28">
        <f>SUM(G29+G30+G31+G32+G33)</f>
        <v>576.97500000000002</v>
      </c>
      <c r="H34" s="21"/>
      <c r="I34" s="1"/>
      <c r="J34" s="1"/>
      <c r="K34" s="1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x14ac:dyDescent="0.25">
      <c r="A35" s="1"/>
      <c r="B35" s="1"/>
      <c r="C35" s="1"/>
      <c r="D35" s="1"/>
      <c r="E35" s="1"/>
      <c r="F35" s="1"/>
      <c r="G35" s="1"/>
      <c r="H35" s="21"/>
      <c r="I35" s="1"/>
      <c r="J35" s="1"/>
      <c r="K35" s="1"/>
      <c r="L35" s="25"/>
      <c r="M35" s="25"/>
      <c r="N35" s="25"/>
      <c r="O35" s="25"/>
      <c r="P35" s="25"/>
      <c r="Q35" s="25"/>
      <c r="R35" s="25"/>
      <c r="S35" s="25"/>
      <c r="T35" s="25"/>
      <c r="U35" s="40"/>
      <c r="V35" s="40"/>
    </row>
    <row r="36" spans="1:22" x14ac:dyDescent="0.25">
      <c r="A36" s="1" t="s">
        <v>109</v>
      </c>
      <c r="B36" s="1"/>
      <c r="C36" s="1"/>
      <c r="D36" s="1"/>
      <c r="E36" s="1"/>
      <c r="F36" s="1"/>
      <c r="G36" s="1"/>
      <c r="H36" s="21"/>
      <c r="I36" s="1"/>
      <c r="J36" s="1"/>
      <c r="K36" s="1"/>
      <c r="L36" s="40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x14ac:dyDescent="0.25">
      <c r="A37" s="85" t="s">
        <v>110</v>
      </c>
      <c r="B37" s="1"/>
      <c r="C37" s="1"/>
      <c r="D37" s="1"/>
      <c r="E37" s="1"/>
      <c r="F37" s="1"/>
      <c r="G37" s="1"/>
      <c r="H37" s="21"/>
      <c r="I37" s="1"/>
      <c r="J37" s="1"/>
      <c r="K37" s="1"/>
      <c r="L37" s="25"/>
      <c r="M37" s="25"/>
      <c r="N37" s="25"/>
      <c r="O37" s="25"/>
      <c r="P37" s="25"/>
      <c r="Q37" s="25"/>
      <c r="R37" s="25"/>
      <c r="S37" s="40"/>
      <c r="T37" s="25"/>
      <c r="U37" s="25"/>
      <c r="V37" s="25"/>
    </row>
    <row r="38" spans="1:22" x14ac:dyDescent="0.25">
      <c r="A38" s="1" t="s">
        <v>111</v>
      </c>
      <c r="B38" s="1"/>
      <c r="C38" s="1"/>
      <c r="D38" s="1"/>
      <c r="E38" s="1"/>
      <c r="F38" s="1"/>
      <c r="G38" s="1"/>
      <c r="H38" s="21"/>
      <c r="I38" s="1"/>
      <c r="J38" s="1"/>
      <c r="K38" s="1"/>
      <c r="L38" s="25"/>
      <c r="M38" s="25"/>
      <c r="N38" s="25"/>
      <c r="O38" s="25"/>
      <c r="P38" s="25"/>
      <c r="Q38" s="25"/>
      <c r="R38" s="25"/>
      <c r="S38" s="40"/>
      <c r="T38" s="25"/>
      <c r="U38" s="25"/>
      <c r="V38" s="25"/>
    </row>
    <row r="39" spans="1:22" x14ac:dyDescent="0.25">
      <c r="H39" s="45"/>
      <c r="R39" s="39"/>
      <c r="S39" s="39"/>
    </row>
    <row r="40" spans="1:22" x14ac:dyDescent="0.25">
      <c r="H40" s="45"/>
    </row>
    <row r="41" spans="1:22" x14ac:dyDescent="0.25">
      <c r="H41" s="45"/>
    </row>
  </sheetData>
  <mergeCells count="12">
    <mergeCell ref="N16:Q16"/>
    <mergeCell ref="N17:Q17"/>
    <mergeCell ref="N18:Q18"/>
    <mergeCell ref="N19:Q19"/>
    <mergeCell ref="N12:Q12"/>
    <mergeCell ref="N13:Q13"/>
    <mergeCell ref="N14:Q14"/>
    <mergeCell ref="N15:Q15"/>
    <mergeCell ref="N11:Q11"/>
    <mergeCell ref="A1:D1"/>
    <mergeCell ref="L11:M11"/>
    <mergeCell ref="L1:R1"/>
  </mergeCells>
  <hyperlinks>
    <hyperlink ref="A37" r:id="rId1"/>
  </hyperlinks>
  <pageMargins left="0.7" right="0.7" top="0.75" bottom="0.75" header="0.3" footer="0.3"/>
  <pageSetup orientation="landscape" r:id="rId2"/>
  <ignoredErrors>
    <ignoredError sqref="B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2015-05-11T04:19:33Z</dcterms:created>
  <dcterms:modified xsi:type="dcterms:W3CDTF">2015-05-11T07:20:53Z</dcterms:modified>
</cp:coreProperties>
</file>